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<sst xmlns="http://schemas.openxmlformats.org/spreadsheetml/2006/main" count="199" uniqueCount="187">
  <si>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</si>
  <si>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</si>
  <si>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</si>
  <si>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</si>
  <si>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</si>
  <si>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</si>
  <si>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</si>
  <si>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</si>
  <si>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</si>
  <si>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</si>
  <si>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</si>
  <si>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</si>
  <si>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</si>
  <si>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</si>
  <si>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</si>
  <si>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</si>
  <si>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</si>
  <si>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</si>
  <si>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</si>
  <si>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</si>
  <si>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</si>
  <si>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</si>
  <si>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</si>
  <si>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</si>
  <si>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</si>
  <si>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</si>
  <si>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</si>
  <si>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</si>
  <si>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</si>
  <si>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</si>
  <si>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</si>
  <si>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</si>
  <si>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</si>
  <si>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</si>
  <si>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</si>
  <si>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</si>
  <si>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</si>
  <si>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</si>
  <si>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</si>
  <si>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</si>
  <si>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</si>
  <si>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</si>
  <si>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</si>
  <si>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</si>
  <si>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</si>
  <si>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</si>
  <si>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</si>
  <si>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</si>
  <si>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</si>
  <si>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</si>
  <si>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</si>
  <si>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</si>
  <si>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</si>
  <si>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</si>
  <si>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</si>
  <si>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</si>
  <si>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</si>
  <si>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</si>
  <si>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</si>
  <si>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</si>
  <si>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</si>
  <si>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</si>
  <si>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</si>
  <si>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</si>
  <si>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</si>
  <si>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</si>
  <si>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</si>
  <si>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</si>
  <si>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</si>
  <si>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</si>
  <si>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</si>
  <si>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</si>
  <si>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</si>
  <si>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</si>
  <si>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</si>
  <si>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</si>
  <si>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</si>
  <si>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</si>
  <si>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</si>
  <si>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</si>
  <si>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</si>
  <si>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</si>
  <si>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</si>
  <si>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</si>
  <si>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</si>
  <si>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</si>
  <si>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</si>
  <si>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</si>
  <si>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</si>
  <si>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</si>
  <si>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</si>
  <si>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</si>
  <si>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</si>
  <si>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</si>
  <si>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</si>
  <si>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</si>
  <si>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</si>
  <si>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</si>
  <si>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</si>
  <si>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</si>
  <si>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</si>
  <si>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</si>
  <si>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</si>
  <si>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</si>
  <si>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</si>
  <si>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</si>
  <si>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</si>
  <si>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</si>
  <si>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</si>
  <si>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</si>
  <si>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</si>
  <si>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</si>
  <si>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</si>
  <si>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</si>
  <si>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</si>
  <si>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</si>
  <si>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</si>
  <si>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</si>
  <si>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</si>
  <si>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</si>
  <si>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</si>
  <si>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</si>
  <si>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</si>
  <si>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</si>
  <si>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</si>
  <si>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</si>
  <si>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</si>
  <si>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</si>
  <si>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</si>
  <si>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</si>
  <si>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</si>
  <si>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</si>
  <si>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</si>
  <si>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</si>
  <si>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</si>
  <si>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</si>
  <si>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</si>
  <si>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</si>
  <si>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</si>
  <si>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</si>
  <si>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</si>
  <si>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</si>
  <si>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</si>
  <si>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</si>
  <si>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</si>
  <si>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</si>
  <si>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</si>
  <si>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</si>
  <si>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</si>
  <si>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</si>
  <si>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</si>
  <si>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</si>
  <si>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</si>
  <si>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</si>
  <si>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</si>
  <si>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</si>
  <si>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</si>
  <si>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</si>
  <si>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</si>
  <si>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</si>
  <si>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</si>
  <si>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</si>
  <si>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</si>
  <si>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</si>
  <si>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</si>
  <si>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</si>
  <si>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</si>
  <si>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</si>
  <si>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</si>
  <si>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</si>
  <si>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</si>
  <si>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</si>
  <si>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</si>
  <si>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 xml:space="preserve">Тимчасовий план на 2014 рік 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</si>
  <si>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</si>
  <si>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</si>
  <si>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</si>
  <si>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</si>
  <si>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</si>
  <si>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</si>
  <si>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</si>
  <si>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</si>
  <si>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</si>
  <si>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29.01.2014</t>
    </r>
    <r>
      <rPr>
        <b/>
        <sz val="16"/>
        <rFont val="Times New Roman"/>
        <family val="1"/>
      </rPr>
      <t>р.</t>
    </r>
  </si>
  <si>
    <t>в т.ч. авансові внески по податку на прибуток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</si>
  <si>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28.01.14 </t>
    </r>
    <r>
      <rPr>
        <b/>
        <sz val="10"/>
        <rFont val="Times New Roman"/>
        <family val="1"/>
      </rPr>
      <t>включно</t>
    </r>
  </si>
  <si>
    <t>в т.ч. орендна плата за землю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</si>
</sst>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Лист4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5250-сф"/>
      <sheetName val="очік-01"/>
      <sheetName val="депозит"/>
      <sheetName val="залишки  (2)"/>
      <sheetName val="надх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очік на кредит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110488063.31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96662841.35</v>
          </cell>
        </row>
      </sheetData>
      <sheetData sheetId="17">
        <row r="29">
          <cell r="C29">
            <v>1320784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  <sheetName val="січень 201"/>
      <sheetName val="січень 20"/>
      <sheetName val="січень 2"/>
      <sheetName val="січень "/>
      <sheetName val="січень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Y29" sqref="Y2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9.125" style="131" hidden="1" customWidth="1"/>
    <col min="19" max="16384" width="9.125" style="4" customWidth="1"/>
  </cols>
  <sheetData>
    <row r="1" spans="1:18" s="1" customFormat="1" ht="26.25" customHeight="1">
      <c r="A1" s="145" t="s">
        <v>183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173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180</v>
      </c>
      <c r="N3" s="176" t="s">
        <v>179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153</v>
      </c>
      <c r="F4" s="160" t="s">
        <v>116</v>
      </c>
      <c r="G4" s="162" t="s">
        <v>174</v>
      </c>
      <c r="H4" s="164" t="s">
        <v>175</v>
      </c>
      <c r="I4" s="166" t="s">
        <v>176</v>
      </c>
      <c r="J4" s="172" t="s">
        <v>177</v>
      </c>
      <c r="K4" s="125" t="s">
        <v>172</v>
      </c>
      <c r="L4" s="132" t="s">
        <v>171</v>
      </c>
      <c r="M4" s="155"/>
      <c r="N4" s="174" t="s">
        <v>185</v>
      </c>
      <c r="O4" s="166" t="s">
        <v>136</v>
      </c>
      <c r="P4" s="176" t="s">
        <v>135</v>
      </c>
      <c r="Q4" s="133" t="s">
        <v>172</v>
      </c>
      <c r="R4" s="134" t="s">
        <v>171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178</v>
      </c>
      <c r="L5" s="159"/>
      <c r="M5" s="155"/>
      <c r="N5" s="175"/>
      <c r="O5" s="167"/>
      <c r="P5" s="176"/>
      <c r="Q5" s="158" t="s">
        <v>181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168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223265.1</v>
      </c>
      <c r="E8" s="22">
        <f>E10+E19+E33+E56+E68</f>
        <v>34205</v>
      </c>
      <c r="F8" s="22">
        <f>F10+F19+F33+F56+F68+F30</f>
        <v>24346.22</v>
      </c>
      <c r="G8" s="22">
        <f aca="true" t="shared" si="0" ref="G8:G30">F8-E8</f>
        <v>-9858.779999999999</v>
      </c>
      <c r="H8" s="51">
        <f>F8/E8*100</f>
        <v>71.17737172927934</v>
      </c>
      <c r="I8" s="36">
        <f aca="true" t="shared" si="1" ref="I8:I17">F8-D8</f>
        <v>-198918.88</v>
      </c>
      <c r="J8" s="36">
        <f aca="true" t="shared" si="2" ref="J8:J14">F8/D8*100</f>
        <v>10.904624144122838</v>
      </c>
      <c r="K8" s="36">
        <f>F8-33601.5</f>
        <v>-9255.279999999999</v>
      </c>
      <c r="L8" s="36">
        <f>F8/33601.5*100</f>
        <v>72.45575346338705</v>
      </c>
      <c r="M8" s="22">
        <f>M10+M19+M33+M56+M68+M30</f>
        <v>34205</v>
      </c>
      <c r="N8" s="22">
        <f>N10+N19+N33+N56+N68+N30</f>
        <v>24346.22</v>
      </c>
      <c r="O8" s="36">
        <f aca="true" t="shared" si="3" ref="O8:O55">N8-M8</f>
        <v>-9858.779999999999</v>
      </c>
      <c r="P8" s="36">
        <f>F8/M8*100</f>
        <v>71.17737172927934</v>
      </c>
      <c r="Q8" s="36">
        <f>N8-33601.5</f>
        <v>-9255.279999999999</v>
      </c>
      <c r="R8" s="136">
        <f>N8/33601.5</f>
        <v>0.7245575346338705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20620.73</v>
      </c>
      <c r="G9" s="22">
        <f t="shared" si="0"/>
        <v>20620.73</v>
      </c>
      <c r="H9" s="20"/>
      <c r="I9" s="56">
        <f t="shared" si="1"/>
        <v>-159599.27</v>
      </c>
      <c r="J9" s="56">
        <f t="shared" si="2"/>
        <v>11.441976473199421</v>
      </c>
      <c r="K9" s="56"/>
      <c r="L9" s="56"/>
      <c r="M9" s="20">
        <f>M10+M17</f>
        <v>27150</v>
      </c>
      <c r="N9" s="20">
        <f>N10+N17</f>
        <v>20620.73</v>
      </c>
      <c r="O9" s="36">
        <f t="shared" si="3"/>
        <v>-6529.27</v>
      </c>
      <c r="P9" s="56">
        <f>F9/M9*100</f>
        <v>75.95112338858195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180220</v>
      </c>
      <c r="E10" s="41">
        <v>27150</v>
      </c>
      <c r="F10" s="40">
        <v>20620.73</v>
      </c>
      <c r="G10" s="49">
        <f t="shared" si="0"/>
        <v>-6529.27</v>
      </c>
      <c r="H10" s="40">
        <f aca="true" t="shared" si="4" ref="H10:H17">F10/E10*100</f>
        <v>75.95112338858195</v>
      </c>
      <c r="I10" s="56">
        <f t="shared" si="1"/>
        <v>-159599.27</v>
      </c>
      <c r="J10" s="56">
        <f t="shared" si="2"/>
        <v>11.441976473199421</v>
      </c>
      <c r="K10" s="56">
        <f>F10-26732.4</f>
        <v>-6111.670000000002</v>
      </c>
      <c r="L10" s="56">
        <f>F10/26732.4*100</f>
        <v>77.13759333243554</v>
      </c>
      <c r="M10" s="40">
        <f>E10</f>
        <v>27150</v>
      </c>
      <c r="N10" s="40">
        <f>F10</f>
        <v>20620.73</v>
      </c>
      <c r="O10" s="53">
        <f t="shared" si="3"/>
        <v>-6529.27</v>
      </c>
      <c r="P10" s="56">
        <f aca="true" t="shared" si="5" ref="P10:P17">N10/M10*100</f>
        <v>75.95112338858195</v>
      </c>
      <c r="Q10" s="143">
        <f>N10-26732.4</f>
        <v>-6111.670000000002</v>
      </c>
      <c r="R10" s="144">
        <f>N10/26732.4</f>
        <v>0.7713759333243554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29.18</v>
      </c>
      <c r="G19" s="49">
        <f t="shared" si="0"/>
        <v>-70.82</v>
      </c>
      <c r="H19" s="40">
        <f aca="true" t="shared" si="8" ref="H19:H28">F19/E19*100</f>
        <v>29.18</v>
      </c>
      <c r="I19" s="56">
        <f aca="true" t="shared" si="9" ref="I19:I28">F19-D19</f>
        <v>-570.82</v>
      </c>
      <c r="J19" s="56">
        <f aca="true" t="shared" si="10" ref="J19:J28">F19/D19*100</f>
        <v>4.863333333333333</v>
      </c>
      <c r="K19" s="56">
        <f>F19-194.7</f>
        <v>-165.51999999999998</v>
      </c>
      <c r="L19" s="56">
        <f>F19/194.7*100</f>
        <v>14.987159732922445</v>
      </c>
      <c r="M19" s="40">
        <f t="shared" si="6"/>
        <v>100</v>
      </c>
      <c r="N19" s="40">
        <f t="shared" si="7"/>
        <v>29.18</v>
      </c>
      <c r="O19" s="53">
        <f t="shared" si="3"/>
        <v>-70.82</v>
      </c>
      <c r="P19" s="56">
        <f aca="true" t="shared" si="11" ref="P19:P28">N19/M19*100</f>
        <v>29.18</v>
      </c>
      <c r="Q19" s="56">
        <f>N19-194.7</f>
        <v>-165.51999999999998</v>
      </c>
      <c r="R19" s="137">
        <f>N19/194.7</f>
        <v>0.14987159732922445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/>
      <c r="L20" s="56">
        <f aca="true" t="shared" si="12" ref="L20:L67">F20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/>
      <c r="L21" s="56">
        <f t="shared" si="12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/>
      <c r="L22" s="56">
        <f t="shared" si="12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/>
      <c r="L23" s="56">
        <f t="shared" si="12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/>
      <c r="L24" s="56">
        <f t="shared" si="12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/>
      <c r="L25" s="56">
        <f t="shared" si="12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/>
      <c r="L26" s="56">
        <f t="shared" si="12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/>
      <c r="L27" s="56">
        <f t="shared" si="12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/>
      <c r="L28" s="56">
        <f t="shared" si="12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184</v>
      </c>
      <c r="C29" s="185">
        <v>11010232</v>
      </c>
      <c r="D29" s="41"/>
      <c r="E29" s="41"/>
      <c r="F29" s="40">
        <v>29.2</v>
      </c>
      <c r="G29" s="49"/>
      <c r="H29" s="40"/>
      <c r="I29" s="56"/>
      <c r="J29" s="56"/>
      <c r="K29" s="56"/>
      <c r="L29" s="56">
        <f t="shared" si="12"/>
        <v>29.2</v>
      </c>
      <c r="M29" s="40"/>
      <c r="N29" s="40">
        <f t="shared" si="7"/>
        <v>29.2</v>
      </c>
      <c r="O29" s="53"/>
      <c r="P29" s="56"/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0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 t="shared" si="12"/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 t="shared" si="12"/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38945</v>
      </c>
      <c r="E33" s="41">
        <v>6400</v>
      </c>
      <c r="F33" s="40">
        <v>3180.73</v>
      </c>
      <c r="G33" s="49">
        <f aca="true" t="shared" si="13" ref="G33:G55">F33-E33</f>
        <v>-3219.27</v>
      </c>
      <c r="H33" s="40">
        <f aca="true" t="shared" si="14" ref="H33:H55">F33/E33*100</f>
        <v>49.69890625</v>
      </c>
      <c r="I33" s="56">
        <f>F33-D33</f>
        <v>-35764.27</v>
      </c>
      <c r="J33" s="56">
        <f aca="true" t="shared" si="15" ref="J33:J55">F33/D33*100</f>
        <v>8.167235845423033</v>
      </c>
      <c r="K33" s="56">
        <f>F33-6172.8</f>
        <v>-2992.07</v>
      </c>
      <c r="L33" s="56">
        <f>F33/6172.8*100</f>
        <v>51.528155780197</v>
      </c>
      <c r="M33" s="40">
        <f t="shared" si="6"/>
        <v>6400</v>
      </c>
      <c r="N33" s="40">
        <f t="shared" si="7"/>
        <v>3180.73</v>
      </c>
      <c r="O33" s="53">
        <f t="shared" si="3"/>
        <v>-3219.27</v>
      </c>
      <c r="P33" s="56">
        <f aca="true" t="shared" si="16" ref="P33:P55">N33/M33*100</f>
        <v>49.69890625</v>
      </c>
      <c r="Q33" s="143">
        <f>N33-6172.8</f>
        <v>-2992.07</v>
      </c>
      <c r="R33" s="144">
        <f>N33/6172.8</f>
        <v>0.5152815578019699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3"/>
        <v>0</v>
      </c>
      <c r="H34" s="40" t="e">
        <f t="shared" si="14"/>
        <v>#DIV/0!</v>
      </c>
      <c r="I34" s="56">
        <f aca="true" t="shared" si="17" ref="I34:I55">F34-D34</f>
        <v>0</v>
      </c>
      <c r="J34" s="56" t="e">
        <f t="shared" si="15"/>
        <v>#DIV/0!</v>
      </c>
      <c r="K34" s="56"/>
      <c r="L34" s="56">
        <f t="shared" si="12"/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6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3"/>
        <v>0</v>
      </c>
      <c r="H35" s="40" t="e">
        <f t="shared" si="14"/>
        <v>#DIV/0!</v>
      </c>
      <c r="I35" s="56">
        <f t="shared" si="17"/>
        <v>0</v>
      </c>
      <c r="J35" s="56" t="e">
        <f t="shared" si="15"/>
        <v>#DIV/0!</v>
      </c>
      <c r="K35" s="56"/>
      <c r="L35" s="56">
        <f t="shared" si="1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6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3"/>
        <v>0</v>
      </c>
      <c r="H36" s="40" t="e">
        <f t="shared" si="14"/>
        <v>#DIV/0!</v>
      </c>
      <c r="I36" s="56">
        <f t="shared" si="17"/>
        <v>0</v>
      </c>
      <c r="J36" s="56" t="e">
        <f t="shared" si="15"/>
        <v>#DIV/0!</v>
      </c>
      <c r="K36" s="56"/>
      <c r="L36" s="56">
        <f t="shared" si="1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6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3"/>
        <v>0</v>
      </c>
      <c r="H37" s="40" t="e">
        <f t="shared" si="14"/>
        <v>#DIV/0!</v>
      </c>
      <c r="I37" s="56">
        <f t="shared" si="17"/>
        <v>0</v>
      </c>
      <c r="J37" s="56" t="e">
        <f t="shared" si="15"/>
        <v>#DIV/0!</v>
      </c>
      <c r="K37" s="56"/>
      <c r="L37" s="56">
        <f t="shared" si="1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6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3"/>
        <v>0</v>
      </c>
      <c r="H38" s="40" t="e">
        <f t="shared" si="14"/>
        <v>#DIV/0!</v>
      </c>
      <c r="I38" s="56">
        <f t="shared" si="17"/>
        <v>0</v>
      </c>
      <c r="J38" s="56" t="e">
        <f t="shared" si="15"/>
        <v>#DIV/0!</v>
      </c>
      <c r="K38" s="56"/>
      <c r="L38" s="56">
        <f t="shared" si="1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6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3"/>
        <v>0</v>
      </c>
      <c r="H39" s="40" t="e">
        <f t="shared" si="14"/>
        <v>#DIV/0!</v>
      </c>
      <c r="I39" s="56">
        <f t="shared" si="17"/>
        <v>0</v>
      </c>
      <c r="J39" s="56" t="e">
        <f t="shared" si="15"/>
        <v>#DIV/0!</v>
      </c>
      <c r="K39" s="56"/>
      <c r="L39" s="56">
        <f t="shared" si="1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6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3"/>
        <v>0</v>
      </c>
      <c r="H40" s="40" t="e">
        <f t="shared" si="14"/>
        <v>#DIV/0!</v>
      </c>
      <c r="I40" s="56">
        <f t="shared" si="17"/>
        <v>0</v>
      </c>
      <c r="J40" s="56" t="e">
        <f t="shared" si="15"/>
        <v>#DIV/0!</v>
      </c>
      <c r="K40" s="56"/>
      <c r="L40" s="56">
        <f t="shared" si="1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6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3"/>
        <v>0</v>
      </c>
      <c r="H41" s="40" t="e">
        <f t="shared" si="14"/>
        <v>#DIV/0!</v>
      </c>
      <c r="I41" s="56">
        <f t="shared" si="17"/>
        <v>0</v>
      </c>
      <c r="J41" s="56" t="e">
        <f t="shared" si="15"/>
        <v>#DIV/0!</v>
      </c>
      <c r="K41" s="56"/>
      <c r="L41" s="56">
        <f t="shared" si="1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6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3"/>
        <v>0</v>
      </c>
      <c r="H42" s="40" t="e">
        <f t="shared" si="14"/>
        <v>#DIV/0!</v>
      </c>
      <c r="I42" s="56">
        <f t="shared" si="17"/>
        <v>0</v>
      </c>
      <c r="J42" s="56" t="e">
        <f t="shared" si="15"/>
        <v>#DIV/0!</v>
      </c>
      <c r="K42" s="56"/>
      <c r="L42" s="56">
        <f t="shared" si="1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6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3"/>
        <v>0</v>
      </c>
      <c r="H43" s="40" t="e">
        <f t="shared" si="14"/>
        <v>#DIV/0!</v>
      </c>
      <c r="I43" s="56">
        <f t="shared" si="17"/>
        <v>0</v>
      </c>
      <c r="J43" s="56" t="e">
        <f t="shared" si="15"/>
        <v>#DIV/0!</v>
      </c>
      <c r="K43" s="56"/>
      <c r="L43" s="56">
        <f t="shared" si="1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6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3"/>
        <v>0</v>
      </c>
      <c r="H44" s="40" t="e">
        <f t="shared" si="14"/>
        <v>#DIV/0!</v>
      </c>
      <c r="I44" s="56">
        <f t="shared" si="17"/>
        <v>0</v>
      </c>
      <c r="J44" s="56" t="e">
        <f t="shared" si="15"/>
        <v>#DIV/0!</v>
      </c>
      <c r="K44" s="56"/>
      <c r="L44" s="56">
        <f t="shared" si="1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6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3"/>
        <v>0</v>
      </c>
      <c r="H45" s="40" t="e">
        <f t="shared" si="14"/>
        <v>#DIV/0!</v>
      </c>
      <c r="I45" s="56">
        <f t="shared" si="17"/>
        <v>0</v>
      </c>
      <c r="J45" s="56" t="e">
        <f t="shared" si="15"/>
        <v>#DIV/0!</v>
      </c>
      <c r="K45" s="56"/>
      <c r="L45" s="56">
        <f t="shared" si="1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6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3"/>
        <v>0</v>
      </c>
      <c r="H46" s="40" t="e">
        <f t="shared" si="14"/>
        <v>#DIV/0!</v>
      </c>
      <c r="I46" s="56">
        <f t="shared" si="17"/>
        <v>0</v>
      </c>
      <c r="J46" s="56" t="e">
        <f t="shared" si="15"/>
        <v>#DIV/0!</v>
      </c>
      <c r="K46" s="56"/>
      <c r="L46" s="56">
        <f t="shared" si="1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6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3"/>
        <v>0</v>
      </c>
      <c r="H47" s="40" t="e">
        <f t="shared" si="14"/>
        <v>#DIV/0!</v>
      </c>
      <c r="I47" s="56">
        <f t="shared" si="17"/>
        <v>0</v>
      </c>
      <c r="J47" s="56" t="e">
        <f t="shared" si="15"/>
        <v>#DIV/0!</v>
      </c>
      <c r="K47" s="56"/>
      <c r="L47" s="56">
        <f t="shared" si="1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6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3"/>
        <v>0</v>
      </c>
      <c r="H48" s="40" t="e">
        <f t="shared" si="14"/>
        <v>#DIV/0!</v>
      </c>
      <c r="I48" s="56">
        <f t="shared" si="17"/>
        <v>0</v>
      </c>
      <c r="J48" s="56" t="e">
        <f t="shared" si="15"/>
        <v>#DIV/0!</v>
      </c>
      <c r="K48" s="56"/>
      <c r="L48" s="56">
        <f t="shared" si="1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6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3"/>
        <v>0</v>
      </c>
      <c r="H49" s="40" t="e">
        <f t="shared" si="14"/>
        <v>#DIV/0!</v>
      </c>
      <c r="I49" s="56">
        <f t="shared" si="17"/>
        <v>0</v>
      </c>
      <c r="J49" s="56" t="e">
        <f t="shared" si="15"/>
        <v>#DIV/0!</v>
      </c>
      <c r="K49" s="56"/>
      <c r="L49" s="56">
        <f t="shared" si="1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6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3"/>
        <v>0</v>
      </c>
      <c r="H50" s="40" t="e">
        <f t="shared" si="14"/>
        <v>#DIV/0!</v>
      </c>
      <c r="I50" s="56">
        <f t="shared" si="17"/>
        <v>0</v>
      </c>
      <c r="J50" s="56" t="e">
        <f t="shared" si="15"/>
        <v>#DIV/0!</v>
      </c>
      <c r="K50" s="56"/>
      <c r="L50" s="56">
        <f t="shared" si="1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6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3"/>
        <v>0</v>
      </c>
      <c r="H51" s="40" t="e">
        <f t="shared" si="14"/>
        <v>#DIV/0!</v>
      </c>
      <c r="I51" s="56">
        <f t="shared" si="17"/>
        <v>0</v>
      </c>
      <c r="J51" s="56" t="e">
        <f t="shared" si="15"/>
        <v>#DIV/0!</v>
      </c>
      <c r="K51" s="56"/>
      <c r="L51" s="56">
        <f t="shared" si="1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6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3"/>
        <v>0</v>
      </c>
      <c r="H52" s="40" t="e">
        <f t="shared" si="14"/>
        <v>#DIV/0!</v>
      </c>
      <c r="I52" s="56">
        <f t="shared" si="17"/>
        <v>0</v>
      </c>
      <c r="J52" s="56" t="e">
        <f t="shared" si="15"/>
        <v>#DIV/0!</v>
      </c>
      <c r="K52" s="56"/>
      <c r="L52" s="56">
        <f t="shared" si="1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6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3"/>
        <v>0</v>
      </c>
      <c r="H53" s="40" t="e">
        <f t="shared" si="14"/>
        <v>#DIV/0!</v>
      </c>
      <c r="I53" s="56">
        <f t="shared" si="17"/>
        <v>0</v>
      </c>
      <c r="J53" s="56" t="e">
        <f t="shared" si="15"/>
        <v>#DIV/0!</v>
      </c>
      <c r="K53" s="56"/>
      <c r="L53" s="56">
        <f t="shared" si="1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6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3"/>
        <v>0</v>
      </c>
      <c r="H54" s="40" t="e">
        <f t="shared" si="14"/>
        <v>#DIV/0!</v>
      </c>
      <c r="I54" s="56">
        <f t="shared" si="17"/>
        <v>0</v>
      </c>
      <c r="J54" s="56" t="e">
        <f t="shared" si="15"/>
        <v>#DIV/0!</v>
      </c>
      <c r="K54" s="56"/>
      <c r="L54" s="56">
        <f t="shared" si="1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6"/>
        <v>#DIV/0!</v>
      </c>
      <c r="Q54" s="56"/>
      <c r="R54" s="137"/>
    </row>
    <row r="55" spans="1:18" s="6" customFormat="1" ht="15.75">
      <c r="A55" s="8"/>
      <c r="B55" s="76" t="s">
        <v>186</v>
      </c>
      <c r="C55" s="65"/>
      <c r="D55" s="186">
        <v>28580</v>
      </c>
      <c r="E55" s="186">
        <v>4750</v>
      </c>
      <c r="F55" s="40">
        <v>2558.54</v>
      </c>
      <c r="G55" s="49">
        <f t="shared" si="13"/>
        <v>-2191.46</v>
      </c>
      <c r="H55" s="40">
        <f t="shared" si="14"/>
        <v>53.864000000000004</v>
      </c>
      <c r="I55" s="56">
        <f t="shared" si="17"/>
        <v>-26021.46</v>
      </c>
      <c r="J55" s="56">
        <f t="shared" si="15"/>
        <v>8.95220433869839</v>
      </c>
      <c r="K55" s="56"/>
      <c r="L55" s="56">
        <f t="shared" si="12"/>
        <v>2558.54</v>
      </c>
      <c r="M55" s="40">
        <f t="shared" si="6"/>
        <v>4750</v>
      </c>
      <c r="N55" s="40">
        <f t="shared" si="7"/>
        <v>2558.54</v>
      </c>
      <c r="O55" s="53">
        <f t="shared" si="3"/>
        <v>-2191.46</v>
      </c>
      <c r="P55" s="56">
        <f t="shared" si="16"/>
        <v>53.864000000000004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3500</v>
      </c>
      <c r="E56" s="41">
        <v>555</v>
      </c>
      <c r="F56" s="40">
        <v>515.43</v>
      </c>
      <c r="G56" s="49">
        <f aca="true" t="shared" si="18" ref="G56:G72">F56-E56</f>
        <v>-39.57000000000005</v>
      </c>
      <c r="H56" s="40">
        <f aca="true" t="shared" si="19" ref="H56:H67">F56/E56*100</f>
        <v>92.87027027027025</v>
      </c>
      <c r="I56" s="56">
        <f aca="true" t="shared" si="20" ref="I56:I72">F56-D56</f>
        <v>-2984.57</v>
      </c>
      <c r="J56" s="56">
        <f aca="true" t="shared" si="21" ref="J56:J72">F56/D56*100</f>
        <v>14.726571428571427</v>
      </c>
      <c r="K56" s="56">
        <f>F56-501.4</f>
        <v>14.029999999999973</v>
      </c>
      <c r="L56" s="56">
        <f>F56/501.4*100</f>
        <v>102.79816513761469</v>
      </c>
      <c r="M56" s="40">
        <f t="shared" si="6"/>
        <v>555</v>
      </c>
      <c r="N56" s="40">
        <f t="shared" si="7"/>
        <v>515.43</v>
      </c>
      <c r="O56" s="53">
        <f aca="true" t="shared" si="22" ref="O56:O72">N56-M56</f>
        <v>-39.57000000000005</v>
      </c>
      <c r="P56" s="56">
        <f aca="true" t="shared" si="23" ref="P56:P67">N56/M56*100</f>
        <v>92.87027027027025</v>
      </c>
      <c r="Q56" s="56">
        <f>N56-501.4</f>
        <v>14.029999999999973</v>
      </c>
      <c r="R56" s="137">
        <f>N56/501.4</f>
        <v>1.0279816513761468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8"/>
        <v>0</v>
      </c>
      <c r="H57" s="40" t="e">
        <f t="shared" si="19"/>
        <v>#DIV/0!</v>
      </c>
      <c r="I57" s="56">
        <f t="shared" si="20"/>
        <v>0</v>
      </c>
      <c r="J57" s="56" t="e">
        <f t="shared" si="21"/>
        <v>#DIV/0!</v>
      </c>
      <c r="K57" s="56"/>
      <c r="L57" s="56">
        <f t="shared" si="12"/>
        <v>0</v>
      </c>
      <c r="M57" s="40">
        <f t="shared" si="6"/>
        <v>0</v>
      </c>
      <c r="N57" s="40">
        <f t="shared" si="7"/>
        <v>0</v>
      </c>
      <c r="O57" s="53">
        <f t="shared" si="22"/>
        <v>0</v>
      </c>
      <c r="P57" s="56" t="e">
        <f t="shared" si="23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8"/>
        <v>0</v>
      </c>
      <c r="H58" s="40" t="e">
        <f t="shared" si="19"/>
        <v>#DIV/0!</v>
      </c>
      <c r="I58" s="56">
        <f t="shared" si="20"/>
        <v>0</v>
      </c>
      <c r="J58" s="56" t="e">
        <f t="shared" si="21"/>
        <v>#DIV/0!</v>
      </c>
      <c r="K58" s="56"/>
      <c r="L58" s="56">
        <f t="shared" si="12"/>
        <v>0</v>
      </c>
      <c r="M58" s="40">
        <f t="shared" si="6"/>
        <v>0</v>
      </c>
      <c r="N58" s="40">
        <f t="shared" si="7"/>
        <v>0</v>
      </c>
      <c r="O58" s="53">
        <f t="shared" si="22"/>
        <v>0</v>
      </c>
      <c r="P58" s="56" t="e">
        <f t="shared" si="23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8"/>
        <v>0</v>
      </c>
      <c r="H59" s="40" t="e">
        <f t="shared" si="19"/>
        <v>#DIV/0!</v>
      </c>
      <c r="I59" s="56">
        <f t="shared" si="20"/>
        <v>0</v>
      </c>
      <c r="J59" s="56" t="e">
        <f t="shared" si="21"/>
        <v>#DIV/0!</v>
      </c>
      <c r="K59" s="56"/>
      <c r="L59" s="56">
        <f t="shared" si="12"/>
        <v>0</v>
      </c>
      <c r="M59" s="40">
        <f t="shared" si="6"/>
        <v>0</v>
      </c>
      <c r="N59" s="40">
        <f t="shared" si="7"/>
        <v>0</v>
      </c>
      <c r="O59" s="53">
        <f t="shared" si="22"/>
        <v>0</v>
      </c>
      <c r="P59" s="56" t="e">
        <f t="shared" si="23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8"/>
        <v>0</v>
      </c>
      <c r="H60" s="40" t="e">
        <f t="shared" si="19"/>
        <v>#DIV/0!</v>
      </c>
      <c r="I60" s="56">
        <f t="shared" si="20"/>
        <v>0</v>
      </c>
      <c r="J60" s="56" t="e">
        <f t="shared" si="21"/>
        <v>#DIV/0!</v>
      </c>
      <c r="K60" s="56"/>
      <c r="L60" s="56">
        <f t="shared" si="12"/>
        <v>0</v>
      </c>
      <c r="M60" s="40">
        <f t="shared" si="6"/>
        <v>0</v>
      </c>
      <c r="N60" s="40">
        <f t="shared" si="7"/>
        <v>0</v>
      </c>
      <c r="O60" s="53">
        <f t="shared" si="22"/>
        <v>0</v>
      </c>
      <c r="P60" s="56" t="e">
        <f t="shared" si="23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8"/>
        <v>0</v>
      </c>
      <c r="H61" s="40" t="e">
        <f t="shared" si="19"/>
        <v>#DIV/0!</v>
      </c>
      <c r="I61" s="56">
        <f t="shared" si="20"/>
        <v>0</v>
      </c>
      <c r="J61" s="56" t="e">
        <f t="shared" si="21"/>
        <v>#DIV/0!</v>
      </c>
      <c r="K61" s="56"/>
      <c r="L61" s="56">
        <f t="shared" si="12"/>
        <v>0</v>
      </c>
      <c r="M61" s="40">
        <f t="shared" si="6"/>
        <v>0</v>
      </c>
      <c r="N61" s="40">
        <f t="shared" si="7"/>
        <v>0</v>
      </c>
      <c r="O61" s="53">
        <f t="shared" si="22"/>
        <v>0</v>
      </c>
      <c r="P61" s="56" t="e">
        <f t="shared" si="23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8"/>
        <v>0</v>
      </c>
      <c r="H62" s="40" t="e">
        <f t="shared" si="19"/>
        <v>#DIV/0!</v>
      </c>
      <c r="I62" s="56">
        <f t="shared" si="20"/>
        <v>0</v>
      </c>
      <c r="J62" s="56" t="e">
        <f t="shared" si="21"/>
        <v>#DIV/0!</v>
      </c>
      <c r="K62" s="56"/>
      <c r="L62" s="56">
        <f t="shared" si="12"/>
        <v>0</v>
      </c>
      <c r="M62" s="40">
        <f t="shared" si="6"/>
        <v>0</v>
      </c>
      <c r="N62" s="40">
        <f t="shared" si="7"/>
        <v>0</v>
      </c>
      <c r="O62" s="53">
        <f t="shared" si="22"/>
        <v>0</v>
      </c>
      <c r="P62" s="56" t="e">
        <f t="shared" si="23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8"/>
        <v>0</v>
      </c>
      <c r="H63" s="40" t="e">
        <f t="shared" si="19"/>
        <v>#DIV/0!</v>
      </c>
      <c r="I63" s="56">
        <f t="shared" si="20"/>
        <v>0</v>
      </c>
      <c r="J63" s="56" t="e">
        <f t="shared" si="21"/>
        <v>#DIV/0!</v>
      </c>
      <c r="K63" s="56"/>
      <c r="L63" s="56">
        <f t="shared" si="12"/>
        <v>0</v>
      </c>
      <c r="M63" s="40">
        <f t="shared" si="6"/>
        <v>0</v>
      </c>
      <c r="N63" s="40">
        <f t="shared" si="7"/>
        <v>0</v>
      </c>
      <c r="O63" s="53">
        <f t="shared" si="22"/>
        <v>0</v>
      </c>
      <c r="P63" s="56" t="e">
        <f t="shared" si="23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8"/>
        <v>0</v>
      </c>
      <c r="H64" s="40" t="e">
        <f t="shared" si="19"/>
        <v>#DIV/0!</v>
      </c>
      <c r="I64" s="56">
        <f t="shared" si="20"/>
        <v>0</v>
      </c>
      <c r="J64" s="56" t="e">
        <f t="shared" si="21"/>
        <v>#DIV/0!</v>
      </c>
      <c r="K64" s="56"/>
      <c r="L64" s="56">
        <f t="shared" si="12"/>
        <v>0</v>
      </c>
      <c r="M64" s="40">
        <f t="shared" si="6"/>
        <v>0</v>
      </c>
      <c r="N64" s="40">
        <f t="shared" si="7"/>
        <v>0</v>
      </c>
      <c r="O64" s="53">
        <f t="shared" si="22"/>
        <v>0</v>
      </c>
      <c r="P64" s="56" t="e">
        <f t="shared" si="23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8"/>
        <v>0</v>
      </c>
      <c r="H65" s="40" t="e">
        <f t="shared" si="19"/>
        <v>#DIV/0!</v>
      </c>
      <c r="I65" s="56">
        <f t="shared" si="20"/>
        <v>0</v>
      </c>
      <c r="J65" s="56" t="e">
        <f t="shared" si="21"/>
        <v>#DIV/0!</v>
      </c>
      <c r="K65" s="56"/>
      <c r="L65" s="56">
        <f t="shared" si="12"/>
        <v>0</v>
      </c>
      <c r="M65" s="40">
        <f t="shared" si="6"/>
        <v>0</v>
      </c>
      <c r="N65" s="40">
        <f t="shared" si="7"/>
        <v>0</v>
      </c>
      <c r="O65" s="53">
        <f t="shared" si="22"/>
        <v>0</v>
      </c>
      <c r="P65" s="56" t="e">
        <f t="shared" si="23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8"/>
        <v>0</v>
      </c>
      <c r="H66" s="40" t="e">
        <f t="shared" si="19"/>
        <v>#DIV/0!</v>
      </c>
      <c r="I66" s="56">
        <f t="shared" si="20"/>
        <v>0</v>
      </c>
      <c r="J66" s="56" t="e">
        <f t="shared" si="21"/>
        <v>#DIV/0!</v>
      </c>
      <c r="K66" s="56"/>
      <c r="L66" s="56">
        <f t="shared" si="12"/>
        <v>0</v>
      </c>
      <c r="M66" s="40">
        <f t="shared" si="6"/>
        <v>0</v>
      </c>
      <c r="N66" s="40">
        <f t="shared" si="7"/>
        <v>0</v>
      </c>
      <c r="O66" s="53">
        <f t="shared" si="22"/>
        <v>0</v>
      </c>
      <c r="P66" s="56" t="e">
        <f t="shared" si="23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8"/>
        <v>0</v>
      </c>
      <c r="H67" s="40" t="e">
        <f t="shared" si="19"/>
        <v>#DIV/0!</v>
      </c>
      <c r="I67" s="56">
        <f t="shared" si="20"/>
        <v>0</v>
      </c>
      <c r="J67" s="56" t="e">
        <f t="shared" si="21"/>
        <v>#DIV/0!</v>
      </c>
      <c r="K67" s="56"/>
      <c r="L67" s="56">
        <f t="shared" si="12"/>
        <v>0</v>
      </c>
      <c r="M67" s="40">
        <f t="shared" si="6"/>
        <v>0</v>
      </c>
      <c r="N67" s="40">
        <f t="shared" si="7"/>
        <v>0</v>
      </c>
      <c r="O67" s="53">
        <f t="shared" si="22"/>
        <v>0</v>
      </c>
      <c r="P67" s="56" t="e">
        <f t="shared" si="23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18"/>
        <v>0.15</v>
      </c>
      <c r="H68" s="40"/>
      <c r="I68" s="56">
        <f t="shared" si="20"/>
        <v>0.04999999999999999</v>
      </c>
      <c r="J68" s="56">
        <f t="shared" si="21"/>
        <v>149.99999999999997</v>
      </c>
      <c r="K68" s="56">
        <f>F68-0.2</f>
        <v>-0.05000000000000002</v>
      </c>
      <c r="L68" s="56"/>
      <c r="M68" s="40">
        <f t="shared" si="6"/>
        <v>0</v>
      </c>
      <c r="N68" s="40">
        <f t="shared" si="7"/>
        <v>0.15</v>
      </c>
      <c r="O68" s="53">
        <f t="shared" si="22"/>
        <v>0.15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8"/>
        <v>0</v>
      </c>
      <c r="H69" s="40" t="e">
        <f>F69/E69*100</f>
        <v>#DIV/0!</v>
      </c>
      <c r="I69" s="56">
        <f t="shared" si="20"/>
        <v>0</v>
      </c>
      <c r="J69" s="56" t="e">
        <f t="shared" si="21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2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8"/>
        <v>0</v>
      </c>
      <c r="H70" s="40" t="e">
        <f>F70/E70*100</f>
        <v>#DIV/0!</v>
      </c>
      <c r="I70" s="56">
        <f t="shared" si="20"/>
        <v>0</v>
      </c>
      <c r="J70" s="56" t="e">
        <f t="shared" si="21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2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8"/>
        <v>0</v>
      </c>
      <c r="H71" s="40" t="e">
        <f>F71/E71*100</f>
        <v>#DIV/0!</v>
      </c>
      <c r="I71" s="56">
        <f t="shared" si="20"/>
        <v>-4590</v>
      </c>
      <c r="J71" s="56">
        <f t="shared" si="21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2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8"/>
        <v>0</v>
      </c>
      <c r="H72" s="40" t="e">
        <f>F72/E72*100</f>
        <v>#DIV/0!</v>
      </c>
      <c r="I72" s="56">
        <f t="shared" si="20"/>
        <v>-4410</v>
      </c>
      <c r="J72" s="56">
        <f t="shared" si="21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2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7706.1</v>
      </c>
      <c r="E74" s="22">
        <f>E77+E86+E87+E88+E89+E95+E96+E97+E99+E103</f>
        <v>1056.1</v>
      </c>
      <c r="F74" s="22">
        <f>F77+F86+F88+F89+F94+F95+F96+F97+F99+F103+F87</f>
        <v>968.9100000000001</v>
      </c>
      <c r="G74" s="50">
        <f aca="true" t="shared" si="24" ref="G74:G92">F74-E74</f>
        <v>-87.18999999999983</v>
      </c>
      <c r="H74" s="51">
        <f aca="true" t="shared" si="25" ref="H74:H86">F74/E74*100</f>
        <v>91.74415301581291</v>
      </c>
      <c r="I74" s="36">
        <f aca="true" t="shared" si="26" ref="I74:I92">F74-D74</f>
        <v>-6737.1900000000005</v>
      </c>
      <c r="J74" s="36">
        <f aca="true" t="shared" si="27" ref="J74:J92">F74/D74*100</f>
        <v>12.57328609802624</v>
      </c>
      <c r="K74" s="36">
        <f>F74-920</f>
        <v>48.91000000000008</v>
      </c>
      <c r="L74" s="36">
        <f>F74/920*100</f>
        <v>105.3163043478261</v>
      </c>
      <c r="M74" s="22">
        <f>M77+M86+M88+M89+M94+M95+M96+M97+M99+M87</f>
        <v>1056.1</v>
      </c>
      <c r="N74" s="22">
        <f>N77+N86+N88+N89+N94+N95+N96+N97+N99+N32+N103+N87</f>
        <v>968.9100000000001</v>
      </c>
      <c r="O74" s="55">
        <f aca="true" t="shared" si="28" ref="O74:O92">N74-M74</f>
        <v>-87.18999999999983</v>
      </c>
      <c r="P74" s="36">
        <f>N74/M74*100</f>
        <v>91.74415301581291</v>
      </c>
      <c r="Q74" s="36">
        <f>N74-920</f>
        <v>48.91000000000008</v>
      </c>
      <c r="R74" s="138">
        <f>N74/920</f>
        <v>1.053163043478261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56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671</v>
      </c>
      <c r="E77" s="41">
        <v>1</v>
      </c>
      <c r="F77" s="57">
        <v>0</v>
      </c>
      <c r="G77" s="49">
        <f t="shared" si="24"/>
        <v>-1</v>
      </c>
      <c r="H77" s="40">
        <f t="shared" si="25"/>
        <v>0</v>
      </c>
      <c r="I77" s="56">
        <f t="shared" si="26"/>
        <v>-671</v>
      </c>
      <c r="J77" s="56">
        <f t="shared" si="27"/>
        <v>0</v>
      </c>
      <c r="K77" s="56">
        <f>F77-0.9</f>
        <v>-0.9</v>
      </c>
      <c r="L77" s="56">
        <f>F77/0.9*100</f>
        <v>0</v>
      </c>
      <c r="M77" s="40">
        <f>E77</f>
        <v>1</v>
      </c>
      <c r="N77" s="40">
        <f>F77</f>
        <v>0</v>
      </c>
      <c r="O77" s="53">
        <f t="shared" si="28"/>
        <v>-1</v>
      </c>
      <c r="P77" s="56">
        <f aca="true" t="shared" si="29" ref="P77:P86">N77/M77*100</f>
        <v>0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56">
        <f aca="true" t="shared" si="30" ref="L78:L101">F78</f>
        <v>0</v>
      </c>
      <c r="M78" s="40">
        <f aca="true" t="shared" si="31" ref="M78:M105">E78</f>
        <v>0</v>
      </c>
      <c r="N78" s="40">
        <f aca="true" t="shared" si="32" ref="N78:N105">F78</f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56">
        <f t="shared" si="30"/>
        <v>0</v>
      </c>
      <c r="M79" s="40">
        <f t="shared" si="31"/>
        <v>0</v>
      </c>
      <c r="N79" s="40">
        <f t="shared" si="32"/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56">
        <f t="shared" si="30"/>
        <v>0</v>
      </c>
      <c r="M80" s="40">
        <f t="shared" si="31"/>
        <v>0</v>
      </c>
      <c r="N80" s="40">
        <f t="shared" si="32"/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56">
        <f t="shared" si="30"/>
        <v>0</v>
      </c>
      <c r="M81" s="40">
        <f t="shared" si="31"/>
        <v>0</v>
      </c>
      <c r="N81" s="40">
        <f t="shared" si="32"/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56">
        <f t="shared" si="30"/>
        <v>0</v>
      </c>
      <c r="M82" s="40">
        <f t="shared" si="31"/>
        <v>0</v>
      </c>
      <c r="N82" s="40">
        <f t="shared" si="32"/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56">
        <f t="shared" si="30"/>
        <v>0</v>
      </c>
      <c r="M83" s="40">
        <f t="shared" si="31"/>
        <v>0</v>
      </c>
      <c r="N83" s="40">
        <f t="shared" si="32"/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56">
        <f t="shared" si="30"/>
        <v>0</v>
      </c>
      <c r="M84" s="40">
        <f t="shared" si="31"/>
        <v>0</v>
      </c>
      <c r="N84" s="40">
        <f t="shared" si="32"/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56">
        <f t="shared" si="30"/>
        <v>0</v>
      </c>
      <c r="M85" s="40">
        <f t="shared" si="31"/>
        <v>0</v>
      </c>
      <c r="N85" s="40">
        <f t="shared" si="32"/>
        <v>0</v>
      </c>
      <c r="O85" s="53">
        <f t="shared" si="28"/>
        <v>0</v>
      </c>
      <c r="P85" s="56" t="e">
        <f t="shared" si="29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700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-700</v>
      </c>
      <c r="J86" s="56">
        <f t="shared" si="27"/>
        <v>0</v>
      </c>
      <c r="K86" s="56">
        <f>F86-0</f>
        <v>0</v>
      </c>
      <c r="L86" s="56" t="e">
        <f>F86/0*100</f>
        <v>#DIV/0!</v>
      </c>
      <c r="M86" s="40">
        <f t="shared" si="31"/>
        <v>0</v>
      </c>
      <c r="N86" s="40">
        <f t="shared" si="32"/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169</v>
      </c>
      <c r="C87" s="64">
        <v>21080500</v>
      </c>
      <c r="D87" s="41"/>
      <c r="E87" s="41"/>
      <c r="F87" s="57">
        <v>0</v>
      </c>
      <c r="G87" s="49"/>
      <c r="H87" s="40"/>
      <c r="I87" s="56"/>
      <c r="J87" s="56"/>
      <c r="K87" s="56"/>
      <c r="L87" s="56"/>
      <c r="M87" s="40">
        <f t="shared" si="31"/>
        <v>0</v>
      </c>
      <c r="N87" s="40">
        <f t="shared" si="32"/>
        <v>0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0.1</v>
      </c>
      <c r="F88" s="57">
        <v>0</v>
      </c>
      <c r="G88" s="49">
        <f t="shared" si="24"/>
        <v>-0.1</v>
      </c>
      <c r="H88" s="40">
        <f>F88/E88*100</f>
        <v>0</v>
      </c>
      <c r="I88" s="56">
        <f t="shared" si="26"/>
        <v>-5.1</v>
      </c>
      <c r="J88" s="56">
        <f t="shared" si="27"/>
        <v>0</v>
      </c>
      <c r="K88" s="56">
        <f>F88-0</f>
        <v>0</v>
      </c>
      <c r="L88" s="56" t="e">
        <f>F88/0*100</f>
        <v>#DIV/0!</v>
      </c>
      <c r="M88" s="40">
        <f t="shared" si="31"/>
        <v>0.1</v>
      </c>
      <c r="N88" s="40">
        <f t="shared" si="32"/>
        <v>0</v>
      </c>
      <c r="O88" s="53">
        <f t="shared" si="28"/>
        <v>-0.1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60</v>
      </c>
      <c r="E89" s="41">
        <v>10</v>
      </c>
      <c r="F89" s="57">
        <v>7.53</v>
      </c>
      <c r="G89" s="49">
        <f t="shared" si="24"/>
        <v>-2.4699999999999998</v>
      </c>
      <c r="H89" s="40">
        <f>F89/E89*100</f>
        <v>75.3</v>
      </c>
      <c r="I89" s="56">
        <f t="shared" si="26"/>
        <v>-52.47</v>
      </c>
      <c r="J89" s="56">
        <f t="shared" si="27"/>
        <v>12.55</v>
      </c>
      <c r="K89" s="56">
        <f>F89-11.9</f>
        <v>-4.37</v>
      </c>
      <c r="L89" s="56">
        <f>F89/11.9*100</f>
        <v>63.27731092436974</v>
      </c>
      <c r="M89" s="40">
        <f t="shared" si="31"/>
        <v>10</v>
      </c>
      <c r="N89" s="40">
        <f t="shared" si="32"/>
        <v>7.53</v>
      </c>
      <c r="O89" s="53">
        <f t="shared" si="28"/>
        <v>-2.4699999999999998</v>
      </c>
      <c r="P89" s="56">
        <f>N89/M89*100</f>
        <v>75.3</v>
      </c>
      <c r="Q89" s="56">
        <f>N89-11.9</f>
        <v>-4.37</v>
      </c>
      <c r="R89" s="137">
        <f>N89/11.9</f>
        <v>0.6327731092436975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56">
        <f t="shared" si="30"/>
        <v>0</v>
      </c>
      <c r="M90" s="40">
        <f t="shared" si="31"/>
        <v>0</v>
      </c>
      <c r="N90" s="40">
        <f t="shared" si="32"/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56">
        <f t="shared" si="30"/>
        <v>0</v>
      </c>
      <c r="M91" s="40">
        <f t="shared" si="31"/>
        <v>0</v>
      </c>
      <c r="N91" s="40">
        <f t="shared" si="32"/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56">
        <f t="shared" si="30"/>
        <v>0</v>
      </c>
      <c r="M92" s="40">
        <f t="shared" si="31"/>
        <v>0</v>
      </c>
      <c r="N92" s="40">
        <f t="shared" si="32"/>
        <v>0</v>
      </c>
      <c r="O92" s="53">
        <f t="shared" si="28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0"/>
        <v>0</v>
      </c>
      <c r="M93" s="40">
        <f t="shared" si="31"/>
        <v>0</v>
      </c>
      <c r="N93" s="40">
        <f t="shared" si="32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3" ref="G94:G101">F94-E94</f>
        <v>0</v>
      </c>
      <c r="H94" s="40"/>
      <c r="I94" s="56">
        <f aca="true" t="shared" si="34" ref="I94:I100">F94-D94</f>
        <v>0</v>
      </c>
      <c r="J94" s="56"/>
      <c r="K94" s="56"/>
      <c r="L94" s="56">
        <f t="shared" si="30"/>
        <v>0</v>
      </c>
      <c r="M94" s="40">
        <f t="shared" si="31"/>
        <v>0</v>
      </c>
      <c r="N94" s="40">
        <f t="shared" si="32"/>
        <v>0</v>
      </c>
      <c r="O94" s="53">
        <f aca="true" t="shared" si="35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644.69</v>
      </c>
      <c r="G95" s="49">
        <f t="shared" si="33"/>
        <v>14.690000000000055</v>
      </c>
      <c r="H95" s="40">
        <f>F95/E95*100</f>
        <v>102.33174603174604</v>
      </c>
      <c r="I95" s="56">
        <f t="shared" si="34"/>
        <v>-3135.31</v>
      </c>
      <c r="J95" s="56">
        <f>F95/D95*100</f>
        <v>17.055291005291007</v>
      </c>
      <c r="K95" s="56">
        <f>F95-638.2</f>
        <v>6.490000000000009</v>
      </c>
      <c r="L95" s="56">
        <f>F95/638.2*100</f>
        <v>101.01692259479786</v>
      </c>
      <c r="M95" s="40">
        <f t="shared" si="31"/>
        <v>630</v>
      </c>
      <c r="N95" s="40">
        <f t="shared" si="32"/>
        <v>644.69</v>
      </c>
      <c r="O95" s="53">
        <f t="shared" si="35"/>
        <v>14.690000000000055</v>
      </c>
      <c r="P95" s="56">
        <f>N95/M95*100</f>
        <v>102.33174603174604</v>
      </c>
      <c r="Q95" s="56">
        <f>N95-638.2</f>
        <v>6.490000000000009</v>
      </c>
      <c r="R95" s="137">
        <f>N95/638.2</f>
        <v>1.0101692259479786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55.69</v>
      </c>
      <c r="G96" s="49">
        <f t="shared" si="33"/>
        <v>-29.310000000000002</v>
      </c>
      <c r="H96" s="40">
        <f>F96/E96*100</f>
        <v>65.51764705882353</v>
      </c>
      <c r="I96" s="56">
        <f t="shared" si="34"/>
        <v>-454.31</v>
      </c>
      <c r="J96" s="56">
        <f>F96/D96*100</f>
        <v>10.919607843137255</v>
      </c>
      <c r="K96" s="56">
        <f>F96-17.2</f>
        <v>38.489999999999995</v>
      </c>
      <c r="L96" s="56">
        <f>F96/17.2*100</f>
        <v>323.77906976744185</v>
      </c>
      <c r="M96" s="40">
        <f t="shared" si="31"/>
        <v>85</v>
      </c>
      <c r="N96" s="40">
        <f t="shared" si="32"/>
        <v>55.69</v>
      </c>
      <c r="O96" s="53">
        <f t="shared" si="35"/>
        <v>-29.310000000000002</v>
      </c>
      <c r="P96" s="56">
        <f>N96/M96*100</f>
        <v>65.51764705882353</v>
      </c>
      <c r="Q96" s="56">
        <f>N96-17.2</f>
        <v>38.489999999999995</v>
      </c>
      <c r="R96" s="137">
        <f>N96/17.2</f>
        <v>3.2377906976744186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3"/>
        <v>0</v>
      </c>
      <c r="H97" s="40"/>
      <c r="I97" s="56">
        <f t="shared" si="34"/>
        <v>0</v>
      </c>
      <c r="J97" s="56"/>
      <c r="K97" s="56"/>
      <c r="L97" s="56"/>
      <c r="M97" s="40">
        <f t="shared" si="31"/>
        <v>0</v>
      </c>
      <c r="N97" s="40">
        <f t="shared" si="32"/>
        <v>0</v>
      </c>
      <c r="O97" s="53">
        <f t="shared" si="35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56">
        <f t="shared" si="30"/>
        <v>0</v>
      </c>
      <c r="M98" s="40">
        <f t="shared" si="31"/>
        <v>0</v>
      </c>
      <c r="N98" s="40">
        <f t="shared" si="32"/>
        <v>0</v>
      </c>
      <c r="O98" s="53">
        <f t="shared" si="35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261</v>
      </c>
      <c r="G99" s="49">
        <f t="shared" si="33"/>
        <v>-69</v>
      </c>
      <c r="H99" s="40">
        <f>F99/E99*100</f>
        <v>79.0909090909091</v>
      </c>
      <c r="I99" s="56">
        <f t="shared" si="34"/>
        <v>-1719</v>
      </c>
      <c r="J99" s="56">
        <f>F99/D99*100</f>
        <v>13.18181818181818</v>
      </c>
      <c r="K99" s="56">
        <f>F99-236.4</f>
        <v>24.599999999999994</v>
      </c>
      <c r="L99" s="56">
        <f>F99/236.5*100</f>
        <v>110.35940803382664</v>
      </c>
      <c r="M99" s="40">
        <f t="shared" si="31"/>
        <v>330</v>
      </c>
      <c r="N99" s="40">
        <f t="shared" si="32"/>
        <v>261</v>
      </c>
      <c r="O99" s="53">
        <f t="shared" si="35"/>
        <v>-69</v>
      </c>
      <c r="P99" s="56">
        <f>N99/M99*100</f>
        <v>79.0909090909091</v>
      </c>
      <c r="Q99" s="56">
        <f>N99-236.4</f>
        <v>24.599999999999994</v>
      </c>
      <c r="R99" s="137">
        <f>N99/236.4</f>
        <v>1.1040609137055837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56">
        <f t="shared" si="30"/>
        <v>0</v>
      </c>
      <c r="M100" s="40">
        <f t="shared" si="31"/>
        <v>0</v>
      </c>
      <c r="N100" s="40">
        <f t="shared" si="32"/>
        <v>0</v>
      </c>
      <c r="O100" s="53">
        <f t="shared" si="35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0"/>
        <v>0</v>
      </c>
      <c r="M101" s="40">
        <f t="shared" si="31"/>
        <v>0</v>
      </c>
      <c r="N101" s="40">
        <f t="shared" si="32"/>
        <v>0</v>
      </c>
      <c r="O101" s="53">
        <f t="shared" si="35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41"/>
      <c r="E102" s="41"/>
      <c r="F102" s="57">
        <v>64.5</v>
      </c>
      <c r="G102" s="49"/>
      <c r="H102" s="40"/>
      <c r="I102" s="56"/>
      <c r="J102" s="56"/>
      <c r="K102" s="56">
        <f>F102-30.6</f>
        <v>33.9</v>
      </c>
      <c r="L102" s="60">
        <f>F102/30.6*100</f>
        <v>210.7843137254902</v>
      </c>
      <c r="M102" s="40">
        <f t="shared" si="31"/>
        <v>0</v>
      </c>
      <c r="N102" s="40">
        <f t="shared" si="32"/>
        <v>64.5</v>
      </c>
      <c r="O102" s="53"/>
      <c r="P102" s="56"/>
      <c r="Q102" s="56">
        <f>N102-30.6</f>
        <v>33.9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6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1"/>
        <v>0</v>
      </c>
      <c r="N103" s="40">
        <f t="shared" si="32"/>
        <v>0</v>
      </c>
      <c r="O103" s="53">
        <f aca="true" t="shared" si="37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0</v>
      </c>
      <c r="G104" s="49">
        <f>F104-E104</f>
        <v>-1</v>
      </c>
      <c r="H104" s="40"/>
      <c r="I104" s="56">
        <f t="shared" si="36"/>
        <v>-6</v>
      </c>
      <c r="J104" s="56">
        <f aca="true" t="shared" si="38" ref="J104:J109">F104/D104*100</f>
        <v>0</v>
      </c>
      <c r="K104" s="56">
        <f>F104-0</f>
        <v>0</v>
      </c>
      <c r="L104" s="56" t="e">
        <f>F104/0*100</f>
        <v>#DIV/0!</v>
      </c>
      <c r="M104" s="40">
        <f t="shared" si="31"/>
        <v>1</v>
      </c>
      <c r="N104" s="40">
        <f t="shared" si="32"/>
        <v>0</v>
      </c>
      <c r="O104" s="53">
        <f t="shared" si="37"/>
        <v>-1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1"/>
        <v>0</v>
      </c>
      <c r="N105" s="40">
        <f t="shared" si="32"/>
        <v>0</v>
      </c>
      <c r="O105" s="53">
        <f t="shared" si="37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230977.2</v>
      </c>
      <c r="E106" s="22">
        <f>E8+E74+E104+E105</f>
        <v>35262.1</v>
      </c>
      <c r="F106" s="22">
        <f>F8+F74+F104+F105</f>
        <v>25315.13</v>
      </c>
      <c r="G106" s="50">
        <f>F106-E106</f>
        <v>-9946.969999999998</v>
      </c>
      <c r="H106" s="51">
        <f>F106/E106*100</f>
        <v>71.79132836671668</v>
      </c>
      <c r="I106" s="36">
        <f t="shared" si="36"/>
        <v>-205662.07</v>
      </c>
      <c r="J106" s="36">
        <f t="shared" si="38"/>
        <v>10.960012503398604</v>
      </c>
      <c r="K106" s="36">
        <f>F106-34521.7</f>
        <v>-9206.569999999996</v>
      </c>
      <c r="L106" s="36">
        <f>F106/34521.7*100</f>
        <v>73.331064229166</v>
      </c>
      <c r="M106" s="22">
        <f>M8+M74+M104+M105</f>
        <v>35262.1</v>
      </c>
      <c r="N106" s="22">
        <f>N8+N74+N104+N105</f>
        <v>25315.13</v>
      </c>
      <c r="O106" s="55">
        <f t="shared" si="37"/>
        <v>-9946.969999999998</v>
      </c>
      <c r="P106" s="36">
        <f>N106/M106*100</f>
        <v>71.79132836671668</v>
      </c>
      <c r="Q106" s="36">
        <f>N106-34521.7</f>
        <v>-9206.569999999996</v>
      </c>
      <c r="R106" s="138">
        <f>N106/34521.7</f>
        <v>0.7333106422916601</v>
      </c>
    </row>
    <row r="107" spans="1:18" s="73" customFormat="1" ht="18.75">
      <c r="A107" s="69"/>
      <c r="B107" s="70" t="s">
        <v>141</v>
      </c>
      <c r="C107" s="93"/>
      <c r="D107" s="71">
        <f>D10-D18+D96</f>
        <v>180730</v>
      </c>
      <c r="E107" s="71">
        <f>E10-E18+E96</f>
        <v>27235</v>
      </c>
      <c r="F107" s="71">
        <f>F10-F18+F96</f>
        <v>20676.42</v>
      </c>
      <c r="G107" s="71">
        <f>G10-G18+G96</f>
        <v>-6558.580000000001</v>
      </c>
      <c r="H107" s="72">
        <f>F107/E107*100</f>
        <v>75.91856067560124</v>
      </c>
      <c r="I107" s="52">
        <f t="shared" si="36"/>
        <v>-160053.58000000002</v>
      </c>
      <c r="J107" s="52">
        <f t="shared" si="38"/>
        <v>11.440502406905328</v>
      </c>
      <c r="K107" s="52">
        <f>F107-26764.7</f>
        <v>-6088.2800000000025</v>
      </c>
      <c r="L107" s="52">
        <f>F107/26764.7*100</f>
        <v>77.2525752203462</v>
      </c>
      <c r="M107" s="71">
        <f>M10-M18+M96</f>
        <v>27235</v>
      </c>
      <c r="N107" s="71">
        <f>N10-N18+N96</f>
        <v>20676.42</v>
      </c>
      <c r="O107" s="53">
        <f t="shared" si="37"/>
        <v>-6558.580000000002</v>
      </c>
      <c r="P107" s="52">
        <f>N107/M107*100</f>
        <v>75.91856067560124</v>
      </c>
      <c r="Q107" s="52">
        <f>N107-26764.7</f>
        <v>-6088.2800000000025</v>
      </c>
      <c r="R107" s="139">
        <f>N107/26764.7</f>
        <v>0.772525752203462</v>
      </c>
    </row>
    <row r="108" spans="1:18" s="73" customFormat="1" ht="18.75">
      <c r="A108" s="69"/>
      <c r="B108" s="70" t="s">
        <v>142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4638.710000000003</v>
      </c>
      <c r="G108" s="62">
        <f>F108-E108</f>
        <v>-3388.389999999996</v>
      </c>
      <c r="H108" s="72">
        <f>F108/E108*100</f>
        <v>57.78811775111813</v>
      </c>
      <c r="I108" s="52">
        <f t="shared" si="36"/>
        <v>-45608.490000000005</v>
      </c>
      <c r="J108" s="52">
        <f t="shared" si="38"/>
        <v>9.231778089127356</v>
      </c>
      <c r="K108" s="52">
        <f>F108-7757</f>
        <v>-3118.2899999999972</v>
      </c>
      <c r="L108" s="52">
        <f>F108/7757*100</f>
        <v>59.80030939796317</v>
      </c>
      <c r="M108" s="71">
        <f>M106-M107</f>
        <v>8027.0999999999985</v>
      </c>
      <c r="N108" s="71">
        <f>N106-N107</f>
        <v>4638.710000000003</v>
      </c>
      <c r="O108" s="53">
        <f t="shared" si="37"/>
        <v>-3388.389999999996</v>
      </c>
      <c r="P108" s="52">
        <f>N108/M108*100</f>
        <v>57.78811775111813</v>
      </c>
      <c r="Q108" s="52">
        <f>N108-7757</f>
        <v>-3118.2899999999972</v>
      </c>
      <c r="R108" s="139">
        <f>N108/7757</f>
        <v>0.5980030939796317</v>
      </c>
    </row>
    <row r="109" spans="1:18" s="73" customFormat="1" ht="18.75">
      <c r="A109" s="69"/>
      <c r="B109" s="82" t="s">
        <v>150</v>
      </c>
      <c r="C109" s="93"/>
      <c r="D109" s="71">
        <v>0</v>
      </c>
      <c r="E109" s="121">
        <v>0</v>
      </c>
      <c r="F109" s="71">
        <f>F107</f>
        <v>20676.42</v>
      </c>
      <c r="G109" s="111">
        <f>F109-E109</f>
        <v>20676.42</v>
      </c>
      <c r="H109" s="72" t="e">
        <f>F109/E109*100</f>
        <v>#DIV/0!</v>
      </c>
      <c r="I109" s="81">
        <f t="shared" si="36"/>
        <v>20676.42</v>
      </c>
      <c r="J109" s="52" t="e">
        <f t="shared" si="38"/>
        <v>#DIV/0!</v>
      </c>
      <c r="K109" s="52"/>
      <c r="L109" s="52"/>
      <c r="M109" s="122">
        <v>0</v>
      </c>
      <c r="N109" s="71">
        <f>N107</f>
        <v>20676.42</v>
      </c>
      <c r="O109" s="118">
        <f t="shared" si="37"/>
        <v>20676.42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1650</v>
      </c>
      <c r="F110" s="87">
        <f>'[1]січень'!$C$29/1000</f>
        <v>1320.784</v>
      </c>
      <c r="G110" s="62">
        <f>F110-E110</f>
        <v>-329.2159999999999</v>
      </c>
      <c r="H110" s="72"/>
      <c r="I110" s="85">
        <f t="shared" si="36"/>
        <v>-3549.596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182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39" ref="G113:G125">F113-E113</f>
        <v>0.18</v>
      </c>
      <c r="H113" s="40"/>
      <c r="I113" s="60">
        <f aca="true" t="shared" si="40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>E113</f>
        <v>0</v>
      </c>
      <c r="N113" s="40">
        <f>F113</f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62.93</v>
      </c>
      <c r="G114" s="49">
        <f t="shared" si="39"/>
        <v>-500.09999999999997</v>
      </c>
      <c r="H114" s="40">
        <f aca="true" t="shared" si="41" ref="H114:H125">F114/E114*100</f>
        <v>11.17702431486777</v>
      </c>
      <c r="I114" s="60">
        <f t="shared" si="40"/>
        <v>-3315.23</v>
      </c>
      <c r="J114" s="60">
        <f aca="true" t="shared" si="42" ref="J114:J120">F114/D114*100</f>
        <v>1.8628484145215145</v>
      </c>
      <c r="K114" s="60">
        <f>F114-246.7</f>
        <v>-183.76999999999998</v>
      </c>
      <c r="L114" s="60">
        <f>F114/246.7*100</f>
        <v>25.508715038508313</v>
      </c>
      <c r="M114" s="40">
        <f>E114</f>
        <v>563.03</v>
      </c>
      <c r="N114" s="40">
        <f>F114</f>
        <v>62.93</v>
      </c>
      <c r="O114" s="53">
        <f aca="true" t="shared" si="43" ref="O114:O125">N114-M114</f>
        <v>-500.09999999999997</v>
      </c>
      <c r="P114" s="60">
        <f>N114/M114*100</f>
        <v>11.17702431486777</v>
      </c>
      <c r="Q114" s="60">
        <f>N114-246.7</f>
        <v>-183.76999999999998</v>
      </c>
      <c r="R114" s="140">
        <f>N114/246.7</f>
        <v>0.2550871503850831</v>
      </c>
    </row>
    <row r="115" spans="2:18" ht="31.5">
      <c r="B115" s="30" t="s">
        <v>170</v>
      </c>
      <c r="C115" s="106">
        <v>18041500</v>
      </c>
      <c r="D115" s="33">
        <v>150</v>
      </c>
      <c r="E115" s="33">
        <v>25</v>
      </c>
      <c r="F115" s="32">
        <v>25</v>
      </c>
      <c r="G115" s="49">
        <f t="shared" si="39"/>
        <v>0</v>
      </c>
      <c r="H115" s="40">
        <f t="shared" si="41"/>
        <v>100</v>
      </c>
      <c r="I115" s="60">
        <f t="shared" si="40"/>
        <v>-125</v>
      </c>
      <c r="J115" s="60">
        <f t="shared" si="42"/>
        <v>16.666666666666664</v>
      </c>
      <c r="K115" s="60">
        <f>F115-22.5</f>
        <v>2.5</v>
      </c>
      <c r="L115" s="60">
        <f>F115/22.5*100</f>
        <v>111.11111111111111</v>
      </c>
      <c r="M115" s="40">
        <f>E115</f>
        <v>25</v>
      </c>
      <c r="N115" s="40">
        <f>F115</f>
        <v>25</v>
      </c>
      <c r="O115" s="53">
        <f t="shared" si="43"/>
        <v>0</v>
      </c>
      <c r="P115" s="60">
        <f>N115/M115*100</f>
        <v>100</v>
      </c>
      <c r="Q115" s="60">
        <f>N115-22.5</f>
        <v>2.5</v>
      </c>
      <c r="R115" s="140">
        <f>N115/22.5</f>
        <v>1.1111111111111112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88.11</v>
      </c>
      <c r="G116" s="62">
        <f t="shared" si="39"/>
        <v>-499.91999999999996</v>
      </c>
      <c r="H116" s="72">
        <f t="shared" si="41"/>
        <v>14.983929391357584</v>
      </c>
      <c r="I116" s="61">
        <f t="shared" si="40"/>
        <v>-3440.0499999999997</v>
      </c>
      <c r="J116" s="61">
        <f t="shared" si="42"/>
        <v>2.4973357217359755</v>
      </c>
      <c r="K116" s="61">
        <f>F116-270.1</f>
        <v>-181.99</v>
      </c>
      <c r="L116" s="61">
        <f>F116/270.1*100</f>
        <v>32.621251388374674</v>
      </c>
      <c r="M116" s="62">
        <f>M114+M115+M113</f>
        <v>588.03</v>
      </c>
      <c r="N116" s="38">
        <f>SUM(N113:N115)</f>
        <v>88.11</v>
      </c>
      <c r="O116" s="61">
        <f t="shared" si="43"/>
        <v>-499.91999999999996</v>
      </c>
      <c r="P116" s="61">
        <f>N116/M116*100</f>
        <v>14.983929391357584</v>
      </c>
      <c r="Q116" s="61">
        <f>N116-270.1</f>
        <v>-181.99</v>
      </c>
      <c r="R116" s="141">
        <f>N116/270.1</f>
        <v>0.3262125138837467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9"/>
        <v>0</v>
      </c>
      <c r="H117" s="40" t="e">
        <f t="shared" si="41"/>
        <v>#DIV/0!</v>
      </c>
      <c r="I117" s="60">
        <f t="shared" si="40"/>
        <v>0</v>
      </c>
      <c r="J117" s="60" t="e">
        <f t="shared" si="42"/>
        <v>#DIV/0!</v>
      </c>
      <c r="K117" s="60"/>
      <c r="L117" s="60"/>
      <c r="M117" s="41">
        <v>0</v>
      </c>
      <c r="N117" s="41">
        <f>F117</f>
        <v>0</v>
      </c>
      <c r="O117" s="53">
        <f t="shared" si="43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45.96</v>
      </c>
      <c r="G118" s="49">
        <f t="shared" si="39"/>
        <v>45.96</v>
      </c>
      <c r="H118" s="40" t="e">
        <f t="shared" si="41"/>
        <v>#DIV/0!</v>
      </c>
      <c r="I118" s="60">
        <f t="shared" si="40"/>
        <v>45.96</v>
      </c>
      <c r="J118" s="60" t="e">
        <f t="shared" si="42"/>
        <v>#DIV/0!</v>
      </c>
      <c r="K118" s="60">
        <f>F118-0.2</f>
        <v>45.76</v>
      </c>
      <c r="L118" s="60">
        <f>F118/0.2*100</f>
        <v>22980</v>
      </c>
      <c r="M118" s="40">
        <f>E118</f>
        <v>0</v>
      </c>
      <c r="N118" s="40">
        <f>F118</f>
        <v>45.96</v>
      </c>
      <c r="O118" s="53" t="s">
        <v>166</v>
      </c>
      <c r="P118" s="60"/>
      <c r="Q118" s="60">
        <f>N118-0.2</f>
        <v>45.76</v>
      </c>
      <c r="R118" s="140">
        <f>N118/0.2</f>
        <v>229.79999999999998</v>
      </c>
    </row>
    <row r="119" spans="2:18" s="48" customFormat="1" ht="15.75">
      <c r="B119" s="15" t="s">
        <v>139</v>
      </c>
      <c r="C119" s="108">
        <v>18050000</v>
      </c>
      <c r="D119" s="33">
        <v>0</v>
      </c>
      <c r="E119" s="33">
        <v>0</v>
      </c>
      <c r="F119" s="33">
        <v>6668.05</v>
      </c>
      <c r="G119" s="49">
        <f t="shared" si="39"/>
        <v>6668.05</v>
      </c>
      <c r="H119" s="40" t="e">
        <f t="shared" si="41"/>
        <v>#DIV/0!</v>
      </c>
      <c r="I119" s="53">
        <f t="shared" si="40"/>
        <v>6668.05</v>
      </c>
      <c r="J119" s="60" t="e">
        <f t="shared" si="42"/>
        <v>#DIV/0!</v>
      </c>
      <c r="K119" s="60">
        <f>F119-6357.6</f>
        <v>310.4499999999998</v>
      </c>
      <c r="L119" s="60">
        <f>F119/6357.6*100</f>
        <v>104.88313199949665</v>
      </c>
      <c r="M119" s="40">
        <f>E119</f>
        <v>0</v>
      </c>
      <c r="N119" s="40">
        <f>F119</f>
        <v>6668.05</v>
      </c>
      <c r="O119" s="53">
        <f t="shared" si="43"/>
        <v>6668.05</v>
      </c>
      <c r="P119" s="60" t="e">
        <f aca="true" t="shared" si="44" ref="P119:P124">N119/M119*100</f>
        <v>#DIV/0!</v>
      </c>
      <c r="Q119" s="60">
        <f>N119-6357.6</f>
        <v>310.4499999999998</v>
      </c>
      <c r="R119" s="140">
        <f>N119/6357.6</f>
        <v>1.0488313199949666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0.039</v>
      </c>
      <c r="G120" s="49">
        <f t="shared" si="39"/>
        <v>0.039</v>
      </c>
      <c r="H120" s="40" t="e">
        <f t="shared" si="41"/>
        <v>#DIV/0!</v>
      </c>
      <c r="I120" s="60">
        <f t="shared" si="40"/>
        <v>0.039</v>
      </c>
      <c r="J120" s="60" t="e">
        <f t="shared" si="42"/>
        <v>#DIV/0!</v>
      </c>
      <c r="K120" s="60">
        <f>F120-230.3</f>
        <v>-230.26100000000002</v>
      </c>
      <c r="L120" s="60">
        <f>F120/230.3*100</f>
        <v>0.016934433347807205</v>
      </c>
      <c r="M120" s="40">
        <f>E120</f>
        <v>0</v>
      </c>
      <c r="N120" s="40">
        <f>F120</f>
        <v>0.039</v>
      </c>
      <c r="O120" s="53">
        <f t="shared" si="43"/>
        <v>0.039</v>
      </c>
      <c r="P120" s="60" t="e">
        <f t="shared" si="44"/>
        <v>#DIV/0!</v>
      </c>
      <c r="Q120" s="60">
        <f>N120-230.3</f>
        <v>-230.26100000000002</v>
      </c>
      <c r="R120" s="140">
        <f>N120/230.3</f>
        <v>0.00016934433347807207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347.83</v>
      </c>
      <c r="G121" s="49">
        <f t="shared" si="39"/>
        <v>347.83</v>
      </c>
      <c r="H121" s="40" t="e">
        <f t="shared" si="41"/>
        <v>#DIV/0!</v>
      </c>
      <c r="I121" s="60">
        <f t="shared" si="40"/>
        <v>347.83</v>
      </c>
      <c r="J121" s="60" t="e">
        <f>F121/D121*100</f>
        <v>#DIV/0!</v>
      </c>
      <c r="K121" s="60">
        <f>F121-238.5</f>
        <v>109.32999999999998</v>
      </c>
      <c r="L121" s="60">
        <f>F121/238.5*100</f>
        <v>145.8406708595388</v>
      </c>
      <c r="M121" s="40">
        <f>E121</f>
        <v>0</v>
      </c>
      <c r="N121" s="40">
        <f>F121</f>
        <v>347.83</v>
      </c>
      <c r="O121" s="53">
        <f t="shared" si="43"/>
        <v>347.83</v>
      </c>
      <c r="P121" s="60" t="e">
        <f t="shared" si="44"/>
        <v>#DIV/0!</v>
      </c>
      <c r="Q121" s="60">
        <f>N121-238.5</f>
        <v>109.32999999999998</v>
      </c>
      <c r="R121" s="140">
        <f>N121/238.5</f>
        <v>1.4584067085953878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39"/>
        <v>1.05</v>
      </c>
      <c r="H122" s="40" t="e">
        <f t="shared" si="41"/>
        <v>#DIV/0!</v>
      </c>
      <c r="I122" s="60">
        <f t="shared" si="40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>F122</f>
        <v>1.05</v>
      </c>
      <c r="O122" s="53">
        <f t="shared" si="43"/>
        <v>1.05</v>
      </c>
      <c r="P122" s="60" t="e">
        <f t="shared" si="44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7062.929</v>
      </c>
      <c r="G123" s="62">
        <f t="shared" si="39"/>
        <v>7062.929</v>
      </c>
      <c r="H123" s="72" t="e">
        <f t="shared" si="41"/>
        <v>#DIV/0!</v>
      </c>
      <c r="I123" s="61">
        <f t="shared" si="40"/>
        <v>7062.929</v>
      </c>
      <c r="J123" s="61" t="e">
        <f>F123/D123*100</f>
        <v>#DIV/0!</v>
      </c>
      <c r="K123" s="61">
        <f>F123-6841.1</f>
        <v>221.82899999999972</v>
      </c>
      <c r="L123" s="61">
        <f>F123/6841.1*100</f>
        <v>103.24259256552308</v>
      </c>
      <c r="M123" s="62">
        <f>M119+M120+M121+M122+M118</f>
        <v>0</v>
      </c>
      <c r="N123" s="62">
        <f>N119+N120+N121+N122+N118</f>
        <v>7062.929</v>
      </c>
      <c r="O123" s="61">
        <f t="shared" si="43"/>
        <v>7062.929</v>
      </c>
      <c r="P123" s="61" t="e">
        <f t="shared" si="44"/>
        <v>#DIV/0!</v>
      </c>
      <c r="Q123" s="61">
        <f>N123-6841.1</f>
        <v>221.82899999999972</v>
      </c>
      <c r="R123" s="141">
        <f>N123/6841.1</f>
        <v>1.0324259256552308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39"/>
        <v>0.16</v>
      </c>
      <c r="H124" s="40" t="e">
        <f t="shared" si="41"/>
        <v>#DIV/0!</v>
      </c>
      <c r="I124" s="60">
        <f t="shared" si="40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>E124</f>
        <v>0</v>
      </c>
      <c r="N124" s="40">
        <f>F124</f>
        <v>0.16</v>
      </c>
      <c r="O124" s="53">
        <f t="shared" si="43"/>
        <v>0.16</v>
      </c>
      <c r="P124" s="60" t="e">
        <f t="shared" si="44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9"/>
        <v>0</v>
      </c>
      <c r="H125" s="40" t="e">
        <f t="shared" si="41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3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0</v>
      </c>
      <c r="E126" s="33">
        <v>0</v>
      </c>
      <c r="F126" s="33">
        <v>0</v>
      </c>
      <c r="G126" s="49"/>
      <c r="H126" s="40"/>
      <c r="I126" s="63"/>
      <c r="J126" s="63"/>
      <c r="K126" s="53">
        <f>F126-0</f>
        <v>0</v>
      </c>
      <c r="L126" s="60" t="e">
        <f>F126/0*100</f>
        <v>#DIV/0!</v>
      </c>
      <c r="M126" s="40">
        <f>E126</f>
        <v>0</v>
      </c>
      <c r="N126" s="40">
        <f>F126</f>
        <v>0</v>
      </c>
      <c r="O126" s="53"/>
      <c r="P126" s="63"/>
      <c r="Q126" s="63">
        <f>N126-0</f>
        <v>0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12.23</v>
      </c>
      <c r="G127" s="49">
        <f aca="true" t="shared" si="45" ref="G127:G134">F127-E127</f>
        <v>-717.87</v>
      </c>
      <c r="H127" s="40">
        <f>F127/E127*100</f>
        <v>1.6751129982194217</v>
      </c>
      <c r="I127" s="60">
        <f aca="true" t="shared" si="46" ref="I127:I134">F127-D127</f>
        <v>-4368.35</v>
      </c>
      <c r="J127" s="60">
        <f>F127/D127*100</f>
        <v>0.27918677435408096</v>
      </c>
      <c r="K127" s="60">
        <f>F127-84.2</f>
        <v>-71.97</v>
      </c>
      <c r="L127" s="60">
        <f>F127/84.2*100</f>
        <v>14.524940617577197</v>
      </c>
      <c r="M127" s="40">
        <f>E127</f>
        <v>730.1</v>
      </c>
      <c r="N127" s="40">
        <f>F127</f>
        <v>12.23</v>
      </c>
      <c r="O127" s="53">
        <f aca="true" t="shared" si="47" ref="O127:O134">N127-M127</f>
        <v>-717.87</v>
      </c>
      <c r="P127" s="60">
        <f>N127/M127*100</f>
        <v>1.6751129982194217</v>
      </c>
      <c r="Q127" s="60">
        <f>N127-84.2</f>
        <v>-71.97</v>
      </c>
      <c r="R127" s="140">
        <f>N127/84.2</f>
        <v>0.14524940617577198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0.046</v>
      </c>
      <c r="G128" s="49">
        <f t="shared" si="45"/>
        <v>0.046</v>
      </c>
      <c r="H128" s="40"/>
      <c r="I128" s="60">
        <f t="shared" si="46"/>
        <v>0.046</v>
      </c>
      <c r="J128" s="60"/>
      <c r="K128" s="60">
        <f>F128-0.2</f>
        <v>-0.15400000000000003</v>
      </c>
      <c r="L128" s="60">
        <f>F128/0.2</f>
        <v>0.22999999999999998</v>
      </c>
      <c r="M128" s="40">
        <f>E128</f>
        <v>0</v>
      </c>
      <c r="N128" s="40">
        <f>F128</f>
        <v>0.046</v>
      </c>
      <c r="O128" s="53">
        <f t="shared" si="47"/>
        <v>0.046</v>
      </c>
      <c r="P128" s="60"/>
      <c r="Q128" s="60">
        <f>N128-0.2</f>
        <v>-0.15400000000000003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12.436</v>
      </c>
      <c r="G129" s="62">
        <f t="shared" si="45"/>
        <v>-717.664</v>
      </c>
      <c r="H129" s="72">
        <f>F129/E129*100</f>
        <v>1.703328311190248</v>
      </c>
      <c r="I129" s="61">
        <f t="shared" si="46"/>
        <v>-4368.144</v>
      </c>
      <c r="J129" s="61">
        <f>F129/D129*100</f>
        <v>0.2838893479858831</v>
      </c>
      <c r="K129" s="61">
        <f>F129-84.8</f>
        <v>-72.364</v>
      </c>
      <c r="L129" s="61">
        <f>G129/84.8*100</f>
        <v>-846.3018867924528</v>
      </c>
      <c r="M129" s="62">
        <f>M124+M127+M128+M126</f>
        <v>730.1</v>
      </c>
      <c r="N129" s="62">
        <f>N124+N127+N128+N126</f>
        <v>12.436</v>
      </c>
      <c r="O129" s="61">
        <f t="shared" si="47"/>
        <v>-717.664</v>
      </c>
      <c r="P129" s="61">
        <f>N129/M129*100</f>
        <v>1.703328311190248</v>
      </c>
      <c r="Q129" s="61">
        <f>N129-84.8</f>
        <v>-72.364</v>
      </c>
      <c r="R129" s="139">
        <f>N129/1784.5</f>
        <v>0.006968898851218828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</v>
      </c>
      <c r="G130" s="49">
        <f>F130-E130</f>
        <v>0</v>
      </c>
      <c r="H130" s="40" t="e">
        <f>F130/E130*100</f>
        <v>#DIV/0!</v>
      </c>
      <c r="I130" s="60">
        <f>F130-D130</f>
        <v>0</v>
      </c>
      <c r="J130" s="60" t="e">
        <f>F130/D130*100</f>
        <v>#DIV/0!</v>
      </c>
      <c r="K130" s="60">
        <f>F130-0</f>
        <v>0</v>
      </c>
      <c r="L130" s="60">
        <f>F130/34*100</f>
        <v>0</v>
      </c>
      <c r="M130" s="40">
        <f>E130</f>
        <v>0</v>
      </c>
      <c r="N130" s="40">
        <f>F130</f>
        <v>0</v>
      </c>
      <c r="O130" s="53">
        <f>N130-M130</f>
        <v>0</v>
      </c>
      <c r="P130" s="60" t="e">
        <f>N130/M130*100</f>
        <v>#DIV/0!</v>
      </c>
      <c r="Q130" s="60">
        <f>N130-0.8</f>
        <v>-0.8</v>
      </c>
      <c r="R130" s="140">
        <f>N130/84.8</f>
        <v>0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5"/>
        <v>-9.24</v>
      </c>
      <c r="H132" s="40">
        <f>F132/E132*100</f>
        <v>0</v>
      </c>
      <c r="I132" s="60">
        <f t="shared" si="46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47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7163.474999999999</v>
      </c>
      <c r="G133" s="50">
        <f t="shared" si="45"/>
        <v>5534.105</v>
      </c>
      <c r="H133" s="51">
        <f>F133/E133*100</f>
        <v>439.6469187477368</v>
      </c>
      <c r="I133" s="36">
        <f t="shared" si="46"/>
        <v>-2612.6950000000006</v>
      </c>
      <c r="J133" s="36">
        <f>F133/D133*100</f>
        <v>73.2748612186572</v>
      </c>
      <c r="K133" s="36">
        <f>F133-7196.4</f>
        <v>-32.92500000000018</v>
      </c>
      <c r="L133" s="36">
        <f>F133/7196.4*100</f>
        <v>99.54247957311989</v>
      </c>
      <c r="M133" s="31">
        <f>M116+M130+M123+M129+M132+M131</f>
        <v>1629.3700000000001</v>
      </c>
      <c r="N133" s="31">
        <f>N116+N130+N123+N129+N132+N131</f>
        <v>7163.474999999999</v>
      </c>
      <c r="O133" s="36">
        <f t="shared" si="47"/>
        <v>5534.105</v>
      </c>
      <c r="P133" s="36">
        <f>N133/M133*100</f>
        <v>439.6469187477368</v>
      </c>
      <c r="Q133" s="36">
        <f>N133-7196.4</f>
        <v>-32.92500000000018</v>
      </c>
      <c r="R133" s="138">
        <f>N133/7196.4</f>
        <v>0.9954247957311989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32478.605</v>
      </c>
      <c r="G134" s="50">
        <f t="shared" si="45"/>
        <v>-4412.865000000002</v>
      </c>
      <c r="H134" s="51">
        <f>F134/E134*100</f>
        <v>88.03825111875454</v>
      </c>
      <c r="I134" s="36">
        <f t="shared" si="46"/>
        <v>-208274.765</v>
      </c>
      <c r="J134" s="36">
        <f>F134/D134*100</f>
        <v>13.490405139500227</v>
      </c>
      <c r="K134" s="36">
        <f>F134-41718.2</f>
        <v>-9239.594999999998</v>
      </c>
      <c r="L134" s="36">
        <f>F134/41718.2*100</f>
        <v>77.85236419596244</v>
      </c>
      <c r="M134" s="22">
        <f>M106+M133</f>
        <v>36891.47</v>
      </c>
      <c r="N134" s="22">
        <f>N106+N133</f>
        <v>32478.605</v>
      </c>
      <c r="O134" s="36">
        <f t="shared" si="47"/>
        <v>-4412.865000000002</v>
      </c>
      <c r="P134" s="36">
        <f>N134/M134*100</f>
        <v>88.03825111875454</v>
      </c>
      <c r="Q134" s="36">
        <f>N134-41718.2</f>
        <v>-9239.594999999998</v>
      </c>
      <c r="R134" s="138">
        <f>N134/41718.2</f>
        <v>0.7785236419596244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3</v>
      </c>
      <c r="D136" s="4" t="s">
        <v>118</v>
      </c>
    </row>
    <row r="137" spans="2:17" ht="31.5">
      <c r="B137" s="78" t="s">
        <v>154</v>
      </c>
      <c r="C137" s="39">
        <f>IF(O106&lt;0,ABS(O106/C136),0)</f>
        <v>3315.656666666666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41667</v>
      </c>
      <c r="D138" s="39">
        <v>1716.4</v>
      </c>
      <c r="N138" s="169"/>
      <c r="O138" s="169"/>
    </row>
    <row r="139" spans="3:15" ht="15.75">
      <c r="C139" s="120">
        <v>41666</v>
      </c>
      <c r="D139" s="39">
        <v>1581.2</v>
      </c>
      <c r="F139" s="4" t="s">
        <v>166</v>
      </c>
      <c r="G139" s="170" t="s">
        <v>151</v>
      </c>
      <c r="H139" s="170"/>
      <c r="I139" s="115">
        <f>'[1]залишки  (2)'!$G$9/1000</f>
        <v>13825.22196</v>
      </c>
      <c r="J139" s="171" t="s">
        <v>161</v>
      </c>
      <c r="K139" s="171"/>
      <c r="L139" s="171"/>
      <c r="M139" s="171"/>
      <c r="N139" s="169"/>
      <c r="O139" s="169"/>
    </row>
    <row r="140" spans="3:15" ht="15.75">
      <c r="C140" s="120">
        <v>41663</v>
      </c>
      <c r="D140" s="39">
        <v>478.3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69"/>
      <c r="O140" s="169"/>
    </row>
    <row r="141" spans="7:13" ht="15.75" customHeight="1">
      <c r="G141" s="170" t="s">
        <v>148</v>
      </c>
      <c r="H141" s="170"/>
      <c r="I141" s="112">
        <f>'[1]залишки  (2)'!$G$8/1000</f>
        <v>0</v>
      </c>
      <c r="J141" s="171" t="s">
        <v>163</v>
      </c>
      <c r="K141" s="171"/>
      <c r="L141" s="171"/>
      <c r="M141" s="171"/>
    </row>
    <row r="142" spans="2:13" ht="18.75" customHeight="1">
      <c r="B142" s="183" t="s">
        <v>160</v>
      </c>
      <c r="C142" s="184"/>
      <c r="D142" s="117">
        <f>'[1]залишки  (2)'!$G$6/1000</f>
        <v>110488.06331</v>
      </c>
      <c r="E142" s="80"/>
      <c r="F142" s="100" t="s">
        <v>147</v>
      </c>
      <c r="G142" s="170" t="s">
        <v>149</v>
      </c>
      <c r="H142" s="170"/>
      <c r="I142" s="116">
        <f>'[1]залишки  (2)'!$G$10/1000</f>
        <v>96662.84134999999</v>
      </c>
      <c r="J142" s="171" t="s">
        <v>164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167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2014-01-29T09:23:56Z</cp:lastPrinted>
  <dcterms:created xsi:type="dcterms:W3CDTF">2003-07-28T11:27:56Z</dcterms:created>
  <dcterms:modified xsi:type="dcterms:W3CDTF">2014-01-29T09:26:06Z</dcterms:modified>
  <cp:category/>
  <cp:version/>
  <cp:contentType/>
  <cp:contentStatus/>
</cp:coreProperties>
</file>